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andwidth Audio\Documents\Bandwidth Audio\Products\Kaskode One Phono Preamp\MC Calculator\Released Versions\"/>
    </mc:Choice>
  </mc:AlternateContent>
  <xr:revisionPtr revIDLastSave="0" documentId="13_ncr:1_{4CC6EC76-E1C5-4BA9-974D-0150F334F725}" xr6:coauthVersionLast="45" xr6:coauthVersionMax="45" xr10:uidLastSave="{00000000-0000-0000-0000-000000000000}"/>
  <bookViews>
    <workbookView xWindow="-28920" yWindow="-2025" windowWidth="29040" windowHeight="16440" tabRatio="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7" i="1" l="1"/>
  <c r="B21" i="1"/>
  <c r="B29" i="1"/>
  <c r="C38" i="1"/>
  <c r="B41" i="1"/>
  <c r="B42" i="1"/>
  <c r="B38" i="1"/>
  <c r="D38" i="1"/>
  <c r="B15" i="1"/>
  <c r="C15" i="1"/>
  <c r="B39" i="1"/>
  <c r="B40" i="1"/>
  <c r="B43" i="1"/>
  <c r="D28" i="1"/>
  <c r="D29" i="1"/>
  <c r="C29" i="1"/>
  <c r="D41" i="1"/>
  <c r="D42" i="1"/>
  <c r="D15" i="1"/>
  <c r="B12" i="1"/>
  <c r="D21" i="1"/>
  <c r="C21" i="1"/>
  <c r="B24" i="1"/>
  <c r="D39" i="1"/>
  <c r="C41" i="1"/>
  <c r="C42" i="1"/>
  <c r="C39" i="1"/>
  <c r="B22" i="1"/>
  <c r="B23" i="1"/>
  <c r="D25" i="1"/>
  <c r="D23" i="1"/>
  <c r="D24" i="1"/>
  <c r="D26" i="1"/>
  <c r="D27" i="1"/>
  <c r="D22" i="1"/>
  <c r="C23" i="1"/>
  <c r="C24" i="1"/>
  <c r="C25" i="1"/>
  <c r="C26" i="1"/>
  <c r="C28" i="1"/>
  <c r="C22" i="1"/>
  <c r="B25" i="1"/>
  <c r="B26" i="1"/>
  <c r="B27" i="1"/>
  <c r="B28" i="1"/>
  <c r="D12" i="1"/>
  <c r="C12" i="1"/>
  <c r="C43" i="1"/>
  <c r="C40" i="1"/>
  <c r="C44" i="1"/>
  <c r="B44" i="1"/>
  <c r="D43" i="1"/>
  <c r="D40" i="1"/>
  <c r="D44" i="1"/>
</calcChain>
</file>

<file path=xl/sharedStrings.xml><?xml version="1.0" encoding="utf-8"?>
<sst xmlns="http://schemas.openxmlformats.org/spreadsheetml/2006/main" count="62" uniqueCount="53">
  <si>
    <t>1:10</t>
    <phoneticPr fontId="1" type="noConversion"/>
  </si>
  <si>
    <t>1:20</t>
    <phoneticPr fontId="1" type="noConversion"/>
  </si>
  <si>
    <t>1:5</t>
  </si>
  <si>
    <t>Zs Secondary Impedance</t>
  </si>
  <si>
    <t>Ideal Secondary Output V</t>
  </si>
  <si>
    <t>Calculated Output</t>
  </si>
  <si>
    <t>Key</t>
  </si>
  <si>
    <t>User Entered Value</t>
  </si>
  <si>
    <t>Cartrige Resistance (Rcart)</t>
  </si>
  <si>
    <t>Ω</t>
  </si>
  <si>
    <t>dB</t>
  </si>
  <si>
    <t>Fixed specifications of the MC transformer. Follow column associated with desired step-up ratio.</t>
  </si>
  <si>
    <t>Maximum Cartridge SNR</t>
  </si>
  <si>
    <t>Primary Winding Resistance (Rpw)</t>
  </si>
  <si>
    <t>Ideal Gain</t>
  </si>
  <si>
    <t>Enter the manufactures specifications of your MC cartridge.</t>
  </si>
  <si>
    <t>Cartrige Output Voltage (Vcart)</t>
  </si>
  <si>
    <t>Secondary Loading (Rsl)</t>
  </si>
  <si>
    <t>Secondary Winding Resistance (Rsw)</t>
  </si>
  <si>
    <t>Secondary Loading Resistance (Rsl) Ω</t>
  </si>
  <si>
    <t>MC Cartridge Load Resistance (Zp) Ω</t>
  </si>
  <si>
    <t>Cacluated performance for each steup ratio based on selected Secondary Loading (Rsl)</t>
  </si>
  <si>
    <t>%</t>
  </si>
  <si>
    <t>1:20</t>
  </si>
  <si>
    <t>SNR after Step up Transformer</t>
  </si>
  <si>
    <t>SNR Degradation</t>
  </si>
  <si>
    <t>Output Voltage (Vout)</t>
  </si>
  <si>
    <t>Actual out vs Ideal</t>
  </si>
  <si>
    <t>Acutal Voltage Gain</t>
  </si>
  <si>
    <t>Helpful Tips:</t>
  </si>
  <si>
    <t>www.BandwidthAudio.com</t>
  </si>
  <si>
    <t>Copyright © Bandwidth Audio 2017</t>
  </si>
  <si>
    <t>Select correct Secondary Loading Resistance based on target Cartridge Load (Select cell for drop-down)</t>
  </si>
  <si>
    <t>Turns Ratio/Step-up Ratio (1:x)</t>
  </si>
  <si>
    <t>Use the lookup table to find desired MC Cartridge Load Resistance for the desired step-up ratio</t>
  </si>
  <si>
    <t>mV  (100uV = 0.1mV)</t>
  </si>
  <si>
    <r>
      <rPr>
        <sz val="20"/>
        <rFont val="Calibri"/>
        <family val="2"/>
      </rPr>
      <t>1</t>
    </r>
    <r>
      <rPr>
        <sz val="10"/>
        <rFont val="Calibri"/>
        <family val="2"/>
      </rPr>
      <t xml:space="preserve">  </t>
    </r>
    <r>
      <rPr>
        <sz val="11"/>
        <rFont val="Calibri"/>
        <family val="2"/>
      </rPr>
      <t xml:space="preserve">  Enter Cartridge Parameters                                                                     </t>
    </r>
  </si>
  <si>
    <r>
      <rPr>
        <sz val="20"/>
        <rFont val="Calibri"/>
        <family val="2"/>
      </rPr>
      <t>2</t>
    </r>
    <r>
      <rPr>
        <sz val="10"/>
        <rFont val="Calibri"/>
        <family val="2"/>
      </rPr>
      <t xml:space="preserve">  </t>
    </r>
    <r>
      <rPr>
        <sz val="11"/>
        <rFont val="Calibri"/>
        <family val="2"/>
      </rPr>
      <t xml:space="preserve">  Transformer Parameters                                                                              </t>
    </r>
  </si>
  <si>
    <r>
      <rPr>
        <sz val="20"/>
        <rFont val="Calibri"/>
        <family val="2"/>
      </rPr>
      <t>3</t>
    </r>
    <r>
      <rPr>
        <sz val="10"/>
        <rFont val="Calibri"/>
        <family val="2"/>
      </rPr>
      <t xml:space="preserve">  </t>
    </r>
    <r>
      <rPr>
        <sz val="11"/>
        <rFont val="Calibri"/>
        <family val="2"/>
      </rPr>
      <t xml:space="preserve"> Choose MC Cartridge Load                                                                            </t>
    </r>
  </si>
  <si>
    <r>
      <rPr>
        <sz val="20"/>
        <rFont val="Calibri"/>
        <family val="2"/>
      </rPr>
      <t>4</t>
    </r>
    <r>
      <rPr>
        <sz val="10"/>
        <rFont val="Calibri"/>
        <family val="2"/>
      </rPr>
      <t xml:space="preserve">  </t>
    </r>
    <r>
      <rPr>
        <sz val="11"/>
        <rFont val="Calibri"/>
        <family val="2"/>
      </rPr>
      <t xml:space="preserve"> Choose Secondary Loading Resistance (Rsl)                                                        </t>
    </r>
  </si>
  <si>
    <r>
      <rPr>
        <sz val="20"/>
        <rFont val="Calibri"/>
        <family val="2"/>
      </rPr>
      <t>5</t>
    </r>
    <r>
      <rPr>
        <sz val="10"/>
        <rFont val="Calibri"/>
        <family val="2"/>
      </rPr>
      <t xml:space="preserve">  </t>
    </r>
    <r>
      <rPr>
        <sz val="11"/>
        <rFont val="Calibri"/>
        <family val="2"/>
      </rPr>
      <t xml:space="preserve"> Calcuated Outputs                                                                                             </t>
    </r>
  </si>
  <si>
    <t>Kaskode One - Moving Coil Transfomer Calaculator - LL9226</t>
  </si>
  <si>
    <t>&lt;== Find desired load (Zp) for your cartridge from the column that gives the best step-up ratio (1:x). The Rsl value in the far left column, will give this desired load.</t>
  </si>
  <si>
    <t>Experimental</t>
  </si>
  <si>
    <t xml:space="preserve">mV                                     </t>
  </si>
  <si>
    <t>&lt;== Find ratio (1:x) that gives 3mV to 7mV output. Follow the ratio column down the worksheet for remaining sections.</t>
  </si>
  <si>
    <t>&lt;== Select Rsl based on target Zp from section 3. Tuning of Rsl may be required for best sound quality and to optimize calculated outputs in section 5.</t>
  </si>
  <si>
    <r>
      <t xml:space="preserve">dB        </t>
    </r>
    <r>
      <rPr>
        <sz val="9"/>
        <color rgb="FFC00000"/>
        <rFont val="Calibri"/>
        <family val="2"/>
      </rPr>
      <t>&lt;== Ideal SNR from cartridge</t>
    </r>
  </si>
  <si>
    <r>
      <t xml:space="preserve">dB   </t>
    </r>
    <r>
      <rPr>
        <sz val="10"/>
        <color rgb="FFC00000"/>
        <rFont val="Calibri"/>
        <family val="2"/>
      </rPr>
      <t xml:space="preserve">     </t>
    </r>
    <r>
      <rPr>
        <sz val="9"/>
        <color rgb="FFC00000"/>
        <rFont val="Calibri"/>
        <family val="2"/>
      </rPr>
      <t>&lt;== The closer to Ideal cartridge SNR, th</t>
    </r>
    <r>
      <rPr>
        <sz val="10"/>
        <color rgb="FFC00000"/>
        <rFont val="Calibri"/>
        <family val="2"/>
      </rPr>
      <t>e better</t>
    </r>
  </si>
  <si>
    <r>
      <t xml:space="preserve">dB        </t>
    </r>
    <r>
      <rPr>
        <sz val="9"/>
        <color rgb="FFC00000"/>
        <rFont val="Calibri"/>
        <family val="2"/>
      </rPr>
      <t>&lt;== Smallest number is best</t>
    </r>
  </si>
  <si>
    <r>
      <t xml:space="preserve">mV   </t>
    </r>
    <r>
      <rPr>
        <sz val="9"/>
        <color rgb="FFC00000"/>
        <rFont val="Calibri"/>
        <family val="2"/>
      </rPr>
      <t xml:space="preserve">&lt;== Actual output voltage from MC transfromer       </t>
    </r>
    <r>
      <rPr>
        <sz val="10"/>
        <color rgb="FFC00000"/>
        <rFont val="Calibri"/>
        <family val="2"/>
      </rPr>
      <t xml:space="preserve">   </t>
    </r>
  </si>
  <si>
    <r>
      <t xml:space="preserve">dB        </t>
    </r>
    <r>
      <rPr>
        <sz val="9"/>
        <color rgb="FFC00000"/>
        <rFont val="Calibri"/>
        <family val="2"/>
      </rPr>
      <t>&lt;== Actual Gain from MC transfromer</t>
    </r>
  </si>
  <si>
    <t>Preamp Configuration (Dip Switch Controlled, see User's manual)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</si>
</sst>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%"/>
    <numFmt numFmtId="166" formatCode="0.0"/>
  </numFmts>
  <fonts count="20" x14ac:knownFonts="1">
    <font>
      <sz val="10"/>
      <name val="Calibri"/>
    </font>
    <font>
      <sz val="8"/>
      <name val="Calibri"/>
      <family val="2"/>
    </font>
    <font>
      <sz val="10"/>
      <name val="Calibri"/>
      <family val="2"/>
    </font>
    <font>
      <u/>
      <sz val="10"/>
      <color theme="10"/>
      <name val="Calibri"/>
      <family val="2"/>
    </font>
    <font>
      <sz val="20"/>
      <name val="Calibri"/>
      <family val="2"/>
    </font>
    <font>
      <sz val="11"/>
      <name val="Calibri"/>
      <family val="2"/>
    </font>
    <font>
      <sz val="10"/>
      <color rgb="FFC00000"/>
      <name val="Calibri"/>
      <family val="2"/>
    </font>
    <font>
      <b/>
      <sz val="14"/>
      <name val="Calibri"/>
      <family val="2"/>
    </font>
    <font>
      <sz val="10"/>
      <name val="Calibri"/>
    </font>
    <font>
      <b/>
      <u/>
      <sz val="10"/>
      <name val="Calibri"/>
      <family val="2"/>
    </font>
    <font>
      <sz val="8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</font>
    <font>
      <b/>
      <sz val="12"/>
      <name val="Calibri"/>
      <family val="2"/>
    </font>
    <font>
      <b/>
      <u/>
      <sz val="10"/>
      <color rgb="FFC00000"/>
      <name val="Calibri"/>
      <family val="2"/>
    </font>
    <font>
      <u/>
      <sz val="10"/>
      <name val="Calibri"/>
      <family val="2"/>
    </font>
    <font>
      <sz val="8"/>
      <color rgb="FFC00000"/>
      <name val="Calibri"/>
      <family val="2"/>
    </font>
    <font>
      <sz val="9"/>
      <color rgb="FFC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01">
    <xf numFmtId="0" fontId="0" fillId="0" borderId="0" xfId="0"/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8" fillId="0" borderId="0" xfId="0" applyFont="1"/>
    <xf numFmtId="0" fontId="9" fillId="3" borderId="0" xfId="0" applyFont="1" applyFill="1" applyBorder="1" applyAlignment="1">
      <alignment horizontal="left" vertical="center"/>
    </xf>
    <xf numFmtId="0" fontId="10" fillId="3" borderId="0" xfId="0" applyFont="1" applyFill="1" applyAlignment="1"/>
    <xf numFmtId="0" fontId="8" fillId="3" borderId="0" xfId="0" applyFont="1" applyFill="1" applyBorder="1" applyAlignment="1">
      <alignment vertical="center"/>
    </xf>
    <xf numFmtId="0" fontId="8" fillId="0" borderId="0" xfId="0" applyFont="1" applyFill="1"/>
    <xf numFmtId="0" fontId="13" fillId="3" borderId="0" xfId="0" applyFont="1" applyFill="1" applyBorder="1" applyAlignment="1">
      <alignment horizontal="left" vertical="center"/>
    </xf>
    <xf numFmtId="0" fontId="12" fillId="3" borderId="0" xfId="0" applyFont="1" applyFill="1" applyAlignment="1">
      <alignment vertical="center"/>
    </xf>
    <xf numFmtId="0" fontId="12" fillId="0" borderId="0" xfId="0" applyFont="1" applyFill="1" applyAlignment="1">
      <alignment horizontal="right"/>
    </xf>
    <xf numFmtId="2" fontId="13" fillId="0" borderId="0" xfId="0" applyNumberFormat="1" applyFont="1" applyFill="1" applyAlignment="1">
      <alignment horizontal="center" wrapText="1"/>
    </xf>
    <xf numFmtId="49" fontId="8" fillId="0" borderId="0" xfId="0" applyNumberFormat="1" applyFont="1" applyFill="1" applyAlignment="1">
      <alignment horizontal="center" wrapText="1"/>
    </xf>
    <xf numFmtId="49" fontId="8" fillId="0" borderId="0" xfId="0" applyNumberFormat="1" applyFont="1" applyFill="1"/>
    <xf numFmtId="0" fontId="8" fillId="6" borderId="1" xfId="0" applyFont="1" applyFill="1" applyBorder="1"/>
    <xf numFmtId="0" fontId="13" fillId="0" borderId="0" xfId="0" applyFont="1" applyFill="1" applyAlignment="1">
      <alignment horizontal="center" wrapText="1"/>
    </xf>
    <xf numFmtId="2" fontId="8" fillId="0" borderId="0" xfId="0" applyNumberFormat="1" applyFont="1" applyFill="1" applyAlignment="1">
      <alignment horizontal="center" wrapText="1"/>
    </xf>
    <xf numFmtId="0" fontId="12" fillId="3" borderId="0" xfId="0" applyFont="1" applyFill="1" applyAlignment="1">
      <alignment horizontal="left" wrapText="1"/>
    </xf>
    <xf numFmtId="0" fontId="8" fillId="4" borderId="2" xfId="0" applyFont="1" applyFill="1" applyBorder="1"/>
    <xf numFmtId="0" fontId="1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49" fontId="8" fillId="0" borderId="0" xfId="0" applyNumberFormat="1" applyFont="1"/>
    <xf numFmtId="49" fontId="8" fillId="3" borderId="0" xfId="0" applyNumberFormat="1" applyFont="1" applyFill="1"/>
    <xf numFmtId="0" fontId="8" fillId="0" borderId="0" xfId="0" applyFont="1" applyFill="1" applyAlignment="1">
      <alignment horizontal="center" wrapText="1"/>
    </xf>
    <xf numFmtId="2" fontId="13" fillId="3" borderId="0" xfId="0" applyNumberFormat="1" applyFont="1" applyFill="1" applyBorder="1" applyAlignment="1">
      <alignment horizontal="left" vertical="center" wrapText="1"/>
    </xf>
    <xf numFmtId="49" fontId="15" fillId="6" borderId="5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vertical="center" wrapText="1"/>
    </xf>
    <xf numFmtId="0" fontId="8" fillId="0" borderId="0" xfId="0" applyFont="1" applyAlignment="1">
      <alignment wrapText="1"/>
    </xf>
    <xf numFmtId="0" fontId="13" fillId="3" borderId="0" xfId="0" applyFont="1" applyFill="1" applyBorder="1" applyAlignment="1">
      <alignment horizontal="left" vertical="center" wrapText="1"/>
    </xf>
    <xf numFmtId="166" fontId="8" fillId="0" borderId="12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8" fillId="0" borderId="9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3" borderId="0" xfId="0" applyFont="1" applyFill="1" applyBorder="1" applyAlignment="1" applyProtection="1">
      <alignment horizontal="left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2" fontId="13" fillId="6" borderId="5" xfId="0" applyNumberFormat="1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 wrapText="1"/>
    </xf>
    <xf numFmtId="1" fontId="8" fillId="5" borderId="1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" fontId="8" fillId="5" borderId="9" xfId="0" applyNumberFormat="1" applyFont="1" applyFill="1" applyBorder="1" applyAlignment="1">
      <alignment horizontal="center" vertical="center" wrapText="1"/>
    </xf>
    <xf numFmtId="166" fontId="8" fillId="0" borderId="0" xfId="0" applyNumberFormat="1" applyFont="1"/>
    <xf numFmtId="1" fontId="13" fillId="6" borderId="11" xfId="0" applyNumberFormat="1" applyFont="1" applyFill="1" applyBorder="1" applyAlignment="1">
      <alignment horizontal="center" vertical="center" wrapText="1"/>
    </xf>
    <xf numFmtId="1" fontId="8" fillId="4" borderId="9" xfId="0" applyNumberFormat="1" applyFont="1" applyFill="1" applyBorder="1" applyAlignment="1">
      <alignment horizontal="center" vertical="center" wrapText="1"/>
    </xf>
    <xf numFmtId="1" fontId="8" fillId="5" borderId="10" xfId="0" applyNumberFormat="1" applyFont="1" applyFill="1" applyBorder="1" applyAlignment="1">
      <alignment horizontal="center" vertical="center" wrapText="1"/>
    </xf>
    <xf numFmtId="1" fontId="8" fillId="4" borderId="10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/>
    <xf numFmtId="0" fontId="12" fillId="0" borderId="0" xfId="0" applyFont="1" applyAlignment="1"/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/>
    <xf numFmtId="165" fontId="8" fillId="0" borderId="0" xfId="1" applyNumberFormat="1" applyFont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vertical="center" wrapText="1"/>
    </xf>
    <xf numFmtId="166" fontId="14" fillId="2" borderId="12" xfId="0" applyNumberFormat="1" applyFont="1" applyFill="1" applyBorder="1" applyAlignment="1">
      <alignment horizontal="center" vertical="center"/>
    </xf>
    <xf numFmtId="2" fontId="14" fillId="2" borderId="9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0" fillId="3" borderId="0" xfId="0" applyFont="1" applyFill="1" applyBorder="1"/>
    <xf numFmtId="2" fontId="14" fillId="2" borderId="9" xfId="0" applyNumberFormat="1" applyFont="1" applyFill="1" applyBorder="1" applyAlignment="1" applyProtection="1">
      <alignment horizontal="center" vertical="center" wrapText="1"/>
    </xf>
    <xf numFmtId="165" fontId="14" fillId="2" borderId="9" xfId="1" applyNumberFormat="1" applyFont="1" applyFill="1" applyBorder="1" applyAlignment="1">
      <alignment horizontal="center" vertical="center" wrapText="1"/>
    </xf>
    <xf numFmtId="2" fontId="14" fillId="2" borderId="10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" fillId="3" borderId="0" xfId="0" applyFont="1" applyFill="1" applyBorder="1" applyAlignment="1">
      <alignment vertical="top" wrapText="1"/>
    </xf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1" fillId="3" borderId="0" xfId="0" applyFont="1" applyFill="1" applyBorder="1"/>
    <xf numFmtId="0" fontId="14" fillId="7" borderId="19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/>
    <xf numFmtId="0" fontId="14" fillId="7" borderId="19" xfId="0" applyFont="1" applyFill="1" applyBorder="1" applyAlignment="1">
      <alignment horizontal="center" vertical="center"/>
    </xf>
    <xf numFmtId="0" fontId="8" fillId="3" borderId="0" xfId="0" applyFont="1" applyFill="1" applyProtection="1">
      <protection locked="0"/>
    </xf>
    <xf numFmtId="0" fontId="12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1" fillId="3" borderId="0" xfId="2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8" fillId="3" borderId="16" xfId="0" applyFont="1" applyFill="1" applyBorder="1" applyAlignment="1">
      <alignment horizontal="left" vertical="top" wrapText="1"/>
    </xf>
    <xf numFmtId="0" fontId="18" fillId="3" borderId="0" xfId="0" applyFont="1" applyFill="1" applyBorder="1" applyAlignment="1">
      <alignment horizontal="left" vertical="top" wrapText="1"/>
    </xf>
    <xf numFmtId="0" fontId="18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left" vertical="top" wrapText="1"/>
    </xf>
    <xf numFmtId="0" fontId="13" fillId="3" borderId="2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wrapText="1"/>
    </xf>
    <xf numFmtId="49" fontId="13" fillId="6" borderId="6" xfId="0" applyNumberFormat="1" applyFont="1" applyFill="1" applyBorder="1" applyAlignment="1">
      <alignment horizontal="center" vertical="center"/>
    </xf>
    <xf numFmtId="49" fontId="13" fillId="6" borderId="7" xfId="0" applyNumberFormat="1" applyFont="1" applyFill="1" applyBorder="1" applyAlignment="1">
      <alignment horizontal="center" vertical="center"/>
    </xf>
    <xf numFmtId="49" fontId="13" fillId="6" borderId="8" xfId="0" applyNumberFormat="1" applyFont="1" applyFill="1" applyBorder="1" applyAlignment="1">
      <alignment horizontal="center" vertical="center"/>
    </xf>
    <xf numFmtId="2" fontId="13" fillId="0" borderId="0" xfId="0" applyNumberFormat="1" applyFont="1" applyAlignment="1">
      <alignment horizontal="center" vertical="center" wrapText="1"/>
    </xf>
    <xf numFmtId="0" fontId="12" fillId="0" borderId="20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6" fillId="3" borderId="18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5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267479</xdr:colOff>
      <xdr:row>25</xdr:row>
      <xdr:rowOff>153023</xdr:rowOff>
    </xdr:from>
    <xdr:to>
      <xdr:col>6</xdr:col>
      <xdr:colOff>1125140</xdr:colOff>
      <xdr:row>30</xdr:row>
      <xdr:rowOff>53729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9A7A51E-3482-4DEA-A344-FB6C92776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5167" y="4951242"/>
          <a:ext cx="2328082" cy="85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154643</xdr:colOff>
      <xdr:row>0</xdr:row>
      <xdr:rowOff>41094</xdr:rowOff>
    </xdr:from>
    <xdr:to>
      <xdr:col>6</xdr:col>
      <xdr:colOff>1184672</xdr:colOff>
      <xdr:row>1</xdr:row>
      <xdr:rowOff>321470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9FB3FA-404E-44CD-87A6-20CF134CCA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12331" y="41094"/>
          <a:ext cx="2500450" cy="518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ndwidthaudi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7"/>
  <sheetViews>
    <sheetView tabSelected="1" view="pageLayout" topLeftCell="A25" zoomScale="160" zoomScaleNormal="100" zoomScalePageLayoutView="160" workbookViewId="0">
      <selection activeCell="D8" sqref="D8"/>
    </sheetView>
  </sheetViews>
  <sheetFormatPr defaultColWidth="11.140625" defaultRowHeight="12.75" x14ac:dyDescent="0.2"/>
  <cols>
    <col min="1" max="1" width="31.5703125" style="3" customWidth="1"/>
    <col min="2" max="2" width="12.140625" style="3" customWidth="1"/>
    <col min="3" max="3" width="12.140625" style="3" bestFit="1" customWidth="1"/>
    <col min="4" max="5" width="11.140625" style="3"/>
    <col min="6" max="6" width="11.42578125" style="3" customWidth="1"/>
    <col min="7" max="7" width="19.85546875" style="3" customWidth="1"/>
    <col min="8" max="8" width="11.140625" style="3" customWidth="1"/>
    <col min="9" max="9" width="12.7109375" style="3" customWidth="1"/>
    <col min="10" max="10" width="13.7109375" style="3" customWidth="1"/>
    <col min="11" max="21" width="2.85546875" style="3" customWidth="1"/>
    <col min="22" max="16384" width="11.140625" style="3"/>
  </cols>
  <sheetData>
    <row r="1" spans="1:22" ht="18.75" x14ac:dyDescent="0.2">
      <c r="A1" s="65" t="s">
        <v>41</v>
      </c>
      <c r="B1" s="65"/>
      <c r="C1" s="65"/>
      <c r="D1" s="1"/>
      <c r="E1" s="2"/>
      <c r="F1" s="2"/>
      <c r="G1" s="2"/>
    </row>
    <row r="2" spans="1:22" ht="26.25" x14ac:dyDescent="0.2">
      <c r="A2" s="4" t="s">
        <v>36</v>
      </c>
      <c r="B2" s="2"/>
      <c r="C2" s="2"/>
      <c r="D2" s="1"/>
      <c r="E2" s="2"/>
      <c r="F2" s="2"/>
      <c r="G2" s="2"/>
    </row>
    <row r="3" spans="1:22" x14ac:dyDescent="0.2">
      <c r="A3" s="5" t="s">
        <v>15</v>
      </c>
      <c r="B3" s="5"/>
      <c r="C3" s="6"/>
      <c r="D3" s="1"/>
      <c r="E3" s="78" t="s">
        <v>30</v>
      </c>
      <c r="F3" s="79"/>
      <c r="G3" s="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13.5" thickBot="1" x14ac:dyDescent="0.25">
      <c r="A4" s="2"/>
      <c r="B4" s="2"/>
      <c r="C4" s="2"/>
      <c r="D4" s="2"/>
      <c r="E4" s="74" t="s">
        <v>31</v>
      </c>
      <c r="F4" s="75"/>
      <c r="G4" s="7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14.25" thickTop="1" thickBot="1" x14ac:dyDescent="0.25">
      <c r="A5" s="8" t="s">
        <v>8</v>
      </c>
      <c r="B5" s="70">
        <v>5</v>
      </c>
      <c r="C5" s="9" t="s">
        <v>9</v>
      </c>
      <c r="D5" s="2"/>
      <c r="E5" s="84" t="s">
        <v>6</v>
      </c>
      <c r="F5" s="85"/>
      <c r="G5" s="86"/>
      <c r="H5" s="10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4.25" thickTop="1" thickBot="1" x14ac:dyDescent="0.25">
      <c r="A6" s="8" t="s">
        <v>16</v>
      </c>
      <c r="B6" s="70">
        <v>0.3</v>
      </c>
      <c r="C6" s="9" t="s">
        <v>35</v>
      </c>
      <c r="D6" s="2"/>
      <c r="E6" s="72"/>
      <c r="F6" s="93" t="s">
        <v>7</v>
      </c>
      <c r="G6" s="94"/>
      <c r="H6" s="10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3.5" thickTop="1" x14ac:dyDescent="0.2">
      <c r="A7" s="2"/>
      <c r="B7" s="2"/>
      <c r="C7" s="2"/>
      <c r="D7" s="2"/>
      <c r="E7" s="71"/>
      <c r="F7" s="95" t="s">
        <v>5</v>
      </c>
      <c r="G7" s="96"/>
      <c r="H7" s="11"/>
      <c r="I7" s="12"/>
      <c r="J7" s="7"/>
      <c r="K7" s="7"/>
      <c r="L7" s="7"/>
      <c r="M7" s="7"/>
      <c r="N7" s="13"/>
      <c r="O7" s="7"/>
      <c r="P7" s="7"/>
      <c r="Q7" s="7"/>
      <c r="R7" s="7"/>
      <c r="S7" s="7"/>
      <c r="T7" s="7"/>
      <c r="U7" s="7"/>
      <c r="V7" s="7"/>
    </row>
    <row r="8" spans="1:22" ht="26.25" x14ac:dyDescent="0.2">
      <c r="A8" s="4" t="s">
        <v>37</v>
      </c>
      <c r="B8" s="2"/>
      <c r="C8" s="2"/>
      <c r="D8" s="2"/>
      <c r="E8" s="14"/>
      <c r="F8" s="97" t="s">
        <v>52</v>
      </c>
      <c r="G8" s="98"/>
      <c r="H8" s="15"/>
      <c r="I8" s="16"/>
      <c r="J8" s="7"/>
      <c r="K8" s="7"/>
      <c r="L8" s="7"/>
      <c r="M8" s="7"/>
      <c r="N8" s="13"/>
      <c r="O8" s="7"/>
      <c r="P8" s="7"/>
      <c r="Q8" s="7"/>
      <c r="R8" s="7"/>
      <c r="S8" s="7"/>
      <c r="T8" s="7"/>
      <c r="U8" s="7"/>
      <c r="V8" s="7"/>
    </row>
    <row r="9" spans="1:22" ht="12.75" customHeight="1" thickBot="1" x14ac:dyDescent="0.25">
      <c r="A9" s="88" t="s">
        <v>11</v>
      </c>
      <c r="B9" s="88"/>
      <c r="C9" s="88"/>
      <c r="D9" s="17"/>
      <c r="E9" s="18"/>
      <c r="F9" s="76" t="s">
        <v>43</v>
      </c>
      <c r="G9" s="77"/>
      <c r="H9" s="19"/>
      <c r="I9" s="20"/>
      <c r="N9" s="21"/>
    </row>
    <row r="10" spans="1:22" ht="13.5" thickTop="1" x14ac:dyDescent="0.2">
      <c r="A10" s="88"/>
      <c r="B10" s="88"/>
      <c r="C10" s="88"/>
      <c r="D10" s="17"/>
      <c r="E10" s="2"/>
      <c r="F10" s="2"/>
      <c r="G10" s="22"/>
      <c r="H10" s="19"/>
      <c r="I10" s="23"/>
      <c r="N10" s="21"/>
    </row>
    <row r="11" spans="1:22" ht="12.75" customHeight="1" thickBot="1" x14ac:dyDescent="0.25">
      <c r="A11" s="24" t="s">
        <v>33</v>
      </c>
      <c r="B11" s="25" t="s">
        <v>2</v>
      </c>
      <c r="C11" s="25" t="s">
        <v>0</v>
      </c>
      <c r="D11" s="25" t="s">
        <v>23</v>
      </c>
      <c r="E11" s="99" t="s">
        <v>29</v>
      </c>
      <c r="F11" s="100"/>
      <c r="G11" s="100"/>
      <c r="H11" s="92"/>
      <c r="I11" s="26"/>
      <c r="N11" s="27"/>
    </row>
    <row r="12" spans="1:22" x14ac:dyDescent="0.2">
      <c r="A12" s="28" t="s">
        <v>14</v>
      </c>
      <c r="B12" s="29">
        <f>20*LOG(5)</f>
        <v>13.979400086720377</v>
      </c>
      <c r="C12" s="29">
        <f>20*LOG(10)</f>
        <v>20</v>
      </c>
      <c r="D12" s="29">
        <f>20*LOG(20)</f>
        <v>26.020599913279625</v>
      </c>
      <c r="E12" s="30" t="s">
        <v>10</v>
      </c>
      <c r="F12" s="2"/>
      <c r="G12" s="2"/>
      <c r="H12" s="92"/>
      <c r="I12" s="26"/>
    </row>
    <row r="13" spans="1:22" x14ac:dyDescent="0.2">
      <c r="A13" s="28" t="s">
        <v>13</v>
      </c>
      <c r="B13" s="31">
        <v>20</v>
      </c>
      <c r="C13" s="31">
        <v>5</v>
      </c>
      <c r="D13" s="31">
        <v>1</v>
      </c>
      <c r="E13" s="30" t="s">
        <v>9</v>
      </c>
      <c r="F13" s="2"/>
      <c r="G13" s="2"/>
      <c r="H13" s="32"/>
      <c r="I13" s="20"/>
      <c r="K13" s="33"/>
    </row>
    <row r="14" spans="1:22" ht="12.75" customHeight="1" x14ac:dyDescent="0.2">
      <c r="A14" s="8" t="s">
        <v>18</v>
      </c>
      <c r="B14" s="34">
        <v>260</v>
      </c>
      <c r="C14" s="34">
        <v>260</v>
      </c>
      <c r="D14" s="34">
        <v>260</v>
      </c>
      <c r="E14" s="5" t="s">
        <v>9</v>
      </c>
      <c r="F14" s="2"/>
      <c r="G14" s="2"/>
      <c r="I14" s="20"/>
      <c r="K14" s="35"/>
    </row>
    <row r="15" spans="1:22" ht="13.5" customHeight="1" thickBot="1" x14ac:dyDescent="0.25">
      <c r="A15" s="36" t="s">
        <v>4</v>
      </c>
      <c r="B15" s="37">
        <f>$B$6*5</f>
        <v>1.5</v>
      </c>
      <c r="C15" s="37">
        <f>$B$6*10</f>
        <v>3</v>
      </c>
      <c r="D15" s="37">
        <f>$B$6*20</f>
        <v>6</v>
      </c>
      <c r="E15" s="66" t="s">
        <v>44</v>
      </c>
      <c r="F15" s="81" t="s">
        <v>45</v>
      </c>
      <c r="G15" s="87"/>
      <c r="I15" s="20"/>
    </row>
    <row r="16" spans="1:22" ht="31.5" customHeight="1" x14ac:dyDescent="0.2">
      <c r="A16" s="4" t="s">
        <v>38</v>
      </c>
      <c r="B16" s="2"/>
      <c r="C16" s="2"/>
      <c r="D16" s="2"/>
      <c r="E16" s="66"/>
      <c r="F16" s="87"/>
      <c r="G16" s="87"/>
      <c r="H16" s="38"/>
      <c r="I16" s="20"/>
    </row>
    <row r="17" spans="1:14" x14ac:dyDescent="0.2">
      <c r="A17" s="30" t="s">
        <v>34</v>
      </c>
      <c r="B17" s="2"/>
      <c r="C17" s="2"/>
      <c r="D17" s="2"/>
      <c r="E17" s="2"/>
      <c r="F17" s="2"/>
      <c r="G17" s="2"/>
      <c r="I17" s="20"/>
    </row>
    <row r="18" spans="1:14" ht="12.75" customHeight="1" x14ac:dyDescent="0.2">
      <c r="A18" s="2"/>
      <c r="B18" s="2"/>
      <c r="C18" s="2"/>
      <c r="D18" s="2"/>
      <c r="E18" s="2"/>
      <c r="F18" s="2"/>
      <c r="G18" s="2"/>
      <c r="I18" s="20"/>
      <c r="M18" s="20"/>
    </row>
    <row r="19" spans="1:14" ht="15.75" x14ac:dyDescent="0.2">
      <c r="A19" s="2"/>
      <c r="B19" s="25" t="s">
        <v>2</v>
      </c>
      <c r="C19" s="25" t="s">
        <v>0</v>
      </c>
      <c r="D19" s="25" t="s">
        <v>1</v>
      </c>
      <c r="E19" s="2"/>
      <c r="F19" s="2"/>
      <c r="G19" s="2"/>
      <c r="I19" s="20"/>
      <c r="L19" s="20"/>
    </row>
    <row r="20" spans="1:14" ht="13.5" thickBot="1" x14ac:dyDescent="0.25">
      <c r="A20" s="39" t="s">
        <v>19</v>
      </c>
      <c r="B20" s="89" t="s">
        <v>20</v>
      </c>
      <c r="C20" s="90"/>
      <c r="D20" s="91"/>
      <c r="E20" s="2"/>
      <c r="F20" s="73"/>
      <c r="G20" s="2"/>
      <c r="I20" s="20"/>
      <c r="L20" s="38"/>
    </row>
    <row r="21" spans="1:14" x14ac:dyDescent="0.2">
      <c r="A21" s="40">
        <v>47000</v>
      </c>
      <c r="B21" s="41">
        <f>(($A21+$B$14)/(5^2))+$B$13</f>
        <v>1910.4</v>
      </c>
      <c r="C21" s="41">
        <f t="shared" ref="C21:C29" si="0">(($A21+$B$14)/(10^2))+$C$13</f>
        <v>477.6</v>
      </c>
      <c r="D21" s="41">
        <f t="shared" ref="D21:D29" si="1">(($A21+$B$14)/(20^2))+$D$13</f>
        <v>119.15</v>
      </c>
      <c r="E21" s="2"/>
      <c r="F21" s="2"/>
      <c r="G21" s="2"/>
      <c r="I21" s="42"/>
      <c r="L21" s="32"/>
      <c r="N21" s="7"/>
    </row>
    <row r="22" spans="1:14" x14ac:dyDescent="0.2">
      <c r="A22" s="40">
        <v>39000</v>
      </c>
      <c r="B22" s="43">
        <f t="shared" ref="B22:B28" si="2">(($A22+$B$14)/(5^2))+$B$13</f>
        <v>1590.4</v>
      </c>
      <c r="C22" s="43">
        <f t="shared" si="0"/>
        <v>397.6</v>
      </c>
      <c r="D22" s="43">
        <f t="shared" si="1"/>
        <v>99.15</v>
      </c>
      <c r="E22" s="2"/>
      <c r="F22" s="2"/>
      <c r="G22" s="2"/>
      <c r="K22" s="44"/>
      <c r="L22" s="32"/>
      <c r="N22" s="7"/>
    </row>
    <row r="23" spans="1:14" x14ac:dyDescent="0.2">
      <c r="A23" s="40">
        <v>30000</v>
      </c>
      <c r="B23" s="43">
        <f t="shared" si="2"/>
        <v>1230.4000000000001</v>
      </c>
      <c r="C23" s="43">
        <f t="shared" si="0"/>
        <v>307.60000000000002</v>
      </c>
      <c r="D23" s="43">
        <f t="shared" si="1"/>
        <v>76.650000000000006</v>
      </c>
      <c r="E23" s="2"/>
      <c r="F23" s="2"/>
      <c r="G23" s="2"/>
      <c r="K23" s="44"/>
      <c r="L23" s="32"/>
    </row>
    <row r="24" spans="1:14" x14ac:dyDescent="0.2">
      <c r="A24" s="40">
        <v>20000</v>
      </c>
      <c r="B24" s="43">
        <f t="shared" si="2"/>
        <v>830.4</v>
      </c>
      <c r="C24" s="43">
        <f t="shared" si="0"/>
        <v>207.6</v>
      </c>
      <c r="D24" s="43">
        <f t="shared" si="1"/>
        <v>51.65</v>
      </c>
      <c r="E24" s="80" t="s">
        <v>42</v>
      </c>
      <c r="F24" s="81"/>
      <c r="G24" s="81"/>
      <c r="K24" s="44"/>
      <c r="L24" s="32"/>
    </row>
    <row r="25" spans="1:14" x14ac:dyDescent="0.2">
      <c r="A25" s="45">
        <v>15000</v>
      </c>
      <c r="B25" s="43">
        <f t="shared" si="2"/>
        <v>630.4</v>
      </c>
      <c r="C25" s="43">
        <f t="shared" si="0"/>
        <v>157.6</v>
      </c>
      <c r="D25" s="43">
        <f t="shared" si="1"/>
        <v>39.15</v>
      </c>
      <c r="E25" s="80"/>
      <c r="F25" s="81"/>
      <c r="G25" s="81"/>
      <c r="K25" s="44"/>
      <c r="L25" s="32"/>
    </row>
    <row r="26" spans="1:14" ht="12.75" customHeight="1" x14ac:dyDescent="0.2">
      <c r="A26" s="40">
        <v>10000</v>
      </c>
      <c r="B26" s="43">
        <f t="shared" si="2"/>
        <v>430.4</v>
      </c>
      <c r="C26" s="43">
        <f t="shared" si="0"/>
        <v>107.6</v>
      </c>
      <c r="D26" s="43">
        <f t="shared" si="1"/>
        <v>26.65</v>
      </c>
      <c r="E26" s="80"/>
      <c r="F26" s="81"/>
      <c r="G26" s="81"/>
      <c r="K26" s="44"/>
      <c r="L26" s="32"/>
    </row>
    <row r="27" spans="1:14" x14ac:dyDescent="0.2">
      <c r="A27" s="40">
        <v>5586</v>
      </c>
      <c r="B27" s="43">
        <f t="shared" si="2"/>
        <v>253.84</v>
      </c>
      <c r="C27" s="43">
        <f>(($A27+$B$14)/(10^2))+$C$13</f>
        <v>63.46</v>
      </c>
      <c r="D27" s="43">
        <f t="shared" si="1"/>
        <v>15.615</v>
      </c>
      <c r="E27" s="80"/>
      <c r="F27" s="81"/>
      <c r="G27" s="81"/>
      <c r="K27" s="44"/>
      <c r="L27" s="32"/>
    </row>
    <row r="28" spans="1:14" x14ac:dyDescent="0.2">
      <c r="A28" s="40">
        <v>3170</v>
      </c>
      <c r="B28" s="43">
        <f t="shared" si="2"/>
        <v>157.19999999999999</v>
      </c>
      <c r="C28" s="43">
        <f t="shared" si="0"/>
        <v>39.299999999999997</v>
      </c>
      <c r="D28" s="46">
        <f t="shared" si="1"/>
        <v>9.5749999999999993</v>
      </c>
      <c r="E28" s="2"/>
      <c r="F28" s="2"/>
      <c r="G28" s="2"/>
      <c r="K28" s="44"/>
      <c r="L28" s="32"/>
    </row>
    <row r="29" spans="1:14" ht="15.75" customHeight="1" thickBot="1" x14ac:dyDescent="0.25">
      <c r="A29" s="40">
        <v>1000</v>
      </c>
      <c r="B29" s="47">
        <f>(($A29+$B$14)/(5^2))+$B$13</f>
        <v>70.400000000000006</v>
      </c>
      <c r="C29" s="48">
        <f t="shared" si="0"/>
        <v>17.600000000000001</v>
      </c>
      <c r="D29" s="48">
        <f t="shared" si="1"/>
        <v>4.1500000000000004</v>
      </c>
      <c r="E29" s="49"/>
      <c r="F29" s="49"/>
      <c r="G29" s="50"/>
      <c r="H29" s="51"/>
      <c r="I29" s="52"/>
      <c r="J29" s="52"/>
      <c r="K29" s="52"/>
    </row>
    <row r="30" spans="1:14" ht="21.75" customHeight="1" x14ac:dyDescent="0.2">
      <c r="A30" s="4" t="s">
        <v>39</v>
      </c>
      <c r="B30" s="2"/>
      <c r="C30" s="2"/>
      <c r="D30" s="2"/>
      <c r="E30" s="49"/>
      <c r="F30" s="49"/>
      <c r="G30" s="50"/>
      <c r="H30" s="51"/>
      <c r="I30" s="53"/>
      <c r="J30" s="53"/>
      <c r="K30" s="53"/>
    </row>
    <row r="31" spans="1:14" ht="13.5" thickBot="1" x14ac:dyDescent="0.25">
      <c r="A31" s="30" t="s">
        <v>32</v>
      </c>
      <c r="B31" s="2"/>
      <c r="C31" s="2"/>
      <c r="D31" s="2"/>
      <c r="E31" s="49"/>
      <c r="F31" s="49"/>
      <c r="G31" s="50"/>
      <c r="H31" s="54"/>
      <c r="I31" s="52"/>
      <c r="J31" s="52"/>
      <c r="K31" s="52"/>
    </row>
    <row r="32" spans="1:14" ht="14.25" thickTop="1" thickBot="1" x14ac:dyDescent="0.25">
      <c r="A32" s="8" t="s">
        <v>17</v>
      </c>
      <c r="B32" s="70">
        <v>20000</v>
      </c>
      <c r="C32" s="9" t="s">
        <v>9</v>
      </c>
      <c r="D32" s="6"/>
      <c r="E32" s="82" t="s">
        <v>46</v>
      </c>
      <c r="F32" s="83"/>
      <c r="G32" s="83"/>
      <c r="H32" s="51"/>
      <c r="I32" s="55"/>
      <c r="J32" s="55"/>
      <c r="K32" s="55"/>
    </row>
    <row r="33" spans="1:11" ht="13.5" thickTop="1" x14ac:dyDescent="0.2">
      <c r="A33" s="2"/>
      <c r="B33" s="56"/>
      <c r="C33" s="2"/>
      <c r="D33" s="2"/>
      <c r="E33" s="83"/>
      <c r="F33" s="83"/>
      <c r="G33" s="83"/>
      <c r="H33" s="54"/>
      <c r="I33" s="54"/>
      <c r="J33" s="54"/>
      <c r="K33" s="54"/>
    </row>
    <row r="34" spans="1:11" ht="16.5" customHeight="1" x14ac:dyDescent="0.2">
      <c r="A34" s="4" t="s">
        <v>40</v>
      </c>
      <c r="B34" s="57"/>
      <c r="C34" s="57"/>
      <c r="D34" s="57"/>
      <c r="E34" s="83"/>
      <c r="F34" s="83"/>
      <c r="G34" s="83"/>
      <c r="H34" s="54"/>
      <c r="I34" s="54"/>
      <c r="J34" s="54"/>
      <c r="K34" s="54"/>
    </row>
    <row r="35" spans="1:11" x14ac:dyDescent="0.2">
      <c r="A35" s="30" t="s">
        <v>21</v>
      </c>
      <c r="B35" s="2"/>
      <c r="C35" s="2"/>
      <c r="D35" s="2"/>
      <c r="E35" s="49"/>
      <c r="F35" s="49"/>
      <c r="G35" s="50"/>
      <c r="H35" s="54"/>
      <c r="I35" s="54"/>
      <c r="J35" s="54"/>
      <c r="K35" s="54"/>
    </row>
    <row r="36" spans="1:11" x14ac:dyDescent="0.2">
      <c r="A36" s="30"/>
      <c r="B36" s="2"/>
      <c r="C36" s="2"/>
      <c r="D36" s="2"/>
      <c r="E36" s="2"/>
      <c r="F36" s="49"/>
      <c r="G36" s="50"/>
      <c r="H36" s="54"/>
      <c r="I36" s="54"/>
      <c r="J36" s="54"/>
      <c r="K36" s="54"/>
    </row>
    <row r="37" spans="1:11" ht="16.5" thickBot="1" x14ac:dyDescent="0.25">
      <c r="A37" s="2"/>
      <c r="B37" s="25" t="s">
        <v>2</v>
      </c>
      <c r="C37" s="25" t="s">
        <v>0</v>
      </c>
      <c r="D37" s="25" t="s">
        <v>1</v>
      </c>
      <c r="E37" s="2"/>
      <c r="F37" s="50"/>
      <c r="G37" s="50"/>
      <c r="H37" s="54"/>
      <c r="I37" s="54"/>
      <c r="J37" s="54"/>
      <c r="K37" s="54"/>
    </row>
    <row r="38" spans="1:11" x14ac:dyDescent="0.2">
      <c r="A38" s="8" t="s">
        <v>12</v>
      </c>
      <c r="B38" s="58">
        <f>20*LOG10(($B$6*10^-3)/(SQRT(4*(1.3806*10^-23)*(273.15+25)*20000*$B$5)))</f>
        <v>77.376798353773182</v>
      </c>
      <c r="C38" s="58">
        <f>20*LOG10(($B$6*10^-3)/(SQRT(4*(1.3806*10^-23)*(273.15+25)*20000*$B$5)))</f>
        <v>77.376798353773182</v>
      </c>
      <c r="D38" s="58">
        <f>20*LOG10(($B$6*10^-3)/(SQRT(4*(1.3806*10^-23)*(273.15+25)*20000*$B$5)))</f>
        <v>77.376798353773182</v>
      </c>
      <c r="E38" s="67" t="s">
        <v>47</v>
      </c>
      <c r="F38" s="2"/>
      <c r="G38" s="2"/>
    </row>
    <row r="39" spans="1:11" x14ac:dyDescent="0.2">
      <c r="A39" s="28" t="s">
        <v>24</v>
      </c>
      <c r="B39" s="59">
        <f>20*LOG10((B42*10^-3)/(SQRT(4*(1.3806*10^-23)*(273.15+25)*20000*((B41*$B$32)/(B41+$B$32)))))</f>
        <v>68.688420937503892</v>
      </c>
      <c r="C39" s="59">
        <f>20*LOG10((C42*10^-3)/(SQRT(4*(1.3806*10^-23)*(273.15+25)*20000*((C41*$B$32)/(C41+$B$32)))))</f>
        <v>73.097460300724762</v>
      </c>
      <c r="D39" s="59">
        <f t="shared" ref="D39" si="3">20*LOG10((D42*10^-3)/(SQRT(4*(1.3806*10^-23)*(273.15+25)*20000*((D41*$B$32)/(D41+$B$32)))))</f>
        <v>75.595982845468342</v>
      </c>
      <c r="E39" s="68" t="s">
        <v>48</v>
      </c>
      <c r="F39" s="2"/>
      <c r="G39" s="2"/>
    </row>
    <row r="40" spans="1:11" x14ac:dyDescent="0.2">
      <c r="A40" s="28" t="s">
        <v>25</v>
      </c>
      <c r="B40" s="59">
        <f>$B$38-B39</f>
        <v>8.6883774162692902</v>
      </c>
      <c r="C40" s="59">
        <f>$B$38-C39</f>
        <v>4.27933805304842</v>
      </c>
      <c r="D40" s="59">
        <f>$B$38-D39</f>
        <v>1.7808155083048405</v>
      </c>
      <c r="E40" s="68" t="s">
        <v>49</v>
      </c>
      <c r="F40" s="2"/>
      <c r="G40" s="2"/>
    </row>
    <row r="41" spans="1:11" x14ac:dyDescent="0.2">
      <c r="A41" s="28" t="s">
        <v>3</v>
      </c>
      <c r="B41" s="60">
        <f>((5^2)*($B$5+$B$13))+$B$14</f>
        <v>885</v>
      </c>
      <c r="C41" s="60">
        <f>((10^2)*($B$5+$C$13))+$C$14</f>
        <v>1260</v>
      </c>
      <c r="D41" s="60">
        <f>((20^2)*($B$5+$D$13))+$D$14</f>
        <v>2660</v>
      </c>
      <c r="E41" s="61" t="s">
        <v>9</v>
      </c>
      <c r="F41" s="2"/>
      <c r="G41" s="2"/>
    </row>
    <row r="42" spans="1:11" x14ac:dyDescent="0.2">
      <c r="A42" s="36" t="s">
        <v>26</v>
      </c>
      <c r="B42" s="62">
        <f>($B$6*5)*($B$32/($B$32+B41))</f>
        <v>1.4364376346660284</v>
      </c>
      <c r="C42" s="62">
        <f>($B$6*10)*($B$32/($B$32+C41))</f>
        <v>2.8222013170272811</v>
      </c>
      <c r="D42" s="62">
        <f>($B$6*20)*($B$32/($B$32+D41))</f>
        <v>5.2956751985878192</v>
      </c>
      <c r="E42" s="69" t="s">
        <v>50</v>
      </c>
      <c r="F42" s="2"/>
      <c r="G42" s="2"/>
    </row>
    <row r="43" spans="1:11" x14ac:dyDescent="0.2">
      <c r="A43" s="28" t="s">
        <v>27</v>
      </c>
      <c r="B43" s="63">
        <f>(B42/B15)</f>
        <v>0.95762508977735228</v>
      </c>
      <c r="C43" s="63">
        <f>(C42/C15)</f>
        <v>0.94073377234242705</v>
      </c>
      <c r="D43" s="63">
        <f>(D42/D15)</f>
        <v>0.88261253309796983</v>
      </c>
      <c r="E43" s="30" t="s">
        <v>22</v>
      </c>
      <c r="F43" s="2"/>
      <c r="G43" s="2"/>
    </row>
    <row r="44" spans="1:11" ht="13.5" thickBot="1" x14ac:dyDescent="0.25">
      <c r="A44" s="28" t="s">
        <v>28</v>
      </c>
      <c r="B44" s="64">
        <f>20*LOG10(B42/$B$6)</f>
        <v>13.603310407977203</v>
      </c>
      <c r="C44" s="64">
        <f>20*LOG10(C42/$B$6)</f>
        <v>19.469334709534063</v>
      </c>
      <c r="D44" s="64">
        <f>20*LOG10(D42/$B$6)</f>
        <v>24.936001716011678</v>
      </c>
      <c r="E44" s="68" t="s">
        <v>51</v>
      </c>
      <c r="F44" s="2"/>
      <c r="G44" s="2"/>
    </row>
    <row r="45" spans="1:11" x14ac:dyDescent="0.2">
      <c r="A45" s="2"/>
      <c r="B45" s="2"/>
      <c r="C45" s="2"/>
      <c r="D45" s="2"/>
      <c r="E45" s="2"/>
      <c r="F45" s="2"/>
      <c r="G45" s="2"/>
    </row>
    <row r="46" spans="1:11" x14ac:dyDescent="0.2">
      <c r="A46" s="42"/>
      <c r="B46" s="7"/>
      <c r="C46" s="7"/>
      <c r="D46" s="7"/>
      <c r="E46" s="7"/>
      <c r="F46" s="7"/>
    </row>
    <row r="47" spans="1:11" x14ac:dyDescent="0.2">
      <c r="A47" s="7"/>
      <c r="B47" s="7"/>
      <c r="C47" s="7"/>
      <c r="D47" s="7"/>
      <c r="E47" s="7"/>
      <c r="F47" s="7"/>
    </row>
  </sheetData>
  <sheetProtection sheet="1"/>
  <mergeCells count="14">
    <mergeCell ref="A9:C10"/>
    <mergeCell ref="B20:D20"/>
    <mergeCell ref="H11:H12"/>
    <mergeCell ref="F6:G6"/>
    <mergeCell ref="F7:G7"/>
    <mergeCell ref="F8:G8"/>
    <mergeCell ref="E11:G11"/>
    <mergeCell ref="E4:G4"/>
    <mergeCell ref="F9:G9"/>
    <mergeCell ref="E3:G3"/>
    <mergeCell ref="E24:G27"/>
    <mergeCell ref="E32:G34"/>
    <mergeCell ref="E5:G5"/>
    <mergeCell ref="F15:G16"/>
  </mergeCells>
  <phoneticPr fontId="1" type="noConversion"/>
  <conditionalFormatting sqref="B39:D39">
    <cfRule type="cellIs" dxfId="4" priority="5" operator="between">
      <formula>$B$38</formula>
      <formula>($B$38 - 3)</formula>
    </cfRule>
  </conditionalFormatting>
  <conditionalFormatting sqref="B40:D40">
    <cfRule type="cellIs" dxfId="3" priority="4" operator="lessThan">
      <formula>3</formula>
    </cfRule>
  </conditionalFormatting>
  <conditionalFormatting sqref="B42:D42">
    <cfRule type="cellIs" dxfId="2" priority="1" operator="greaterThan">
      <formula>7</formula>
    </cfRule>
    <cfRule type="cellIs" dxfId="1" priority="2" operator="lessThan">
      <formula>3</formula>
    </cfRule>
    <cfRule type="cellIs" dxfId="0" priority="3" operator="between">
      <formula>3</formula>
      <formula>7</formula>
    </cfRule>
  </conditionalFormatting>
  <dataValidations count="1">
    <dataValidation type="list" allowBlank="1" showInputMessage="1" showErrorMessage="1" sqref="B32" xr:uid="{00000000-0002-0000-0000-000000000000}">
      <formula1>$A$21:$A$29</formula1>
    </dataValidation>
  </dataValidations>
  <hyperlinks>
    <hyperlink ref="E3" r:id="rId1" xr:uid="{00000000-0004-0000-0000-000000000000}"/>
  </hyperlinks>
  <pageMargins left="0.25" right="0.25" top="0.75" bottom="0.75" header="0.3" footer="0.3"/>
  <pageSetup orientation="portrait" horizontalDpi="4294967292" verticalDpi="4294967292" r:id="rId2"/>
  <drawing r:id="rId3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Beardsworth</dc:creator>
  <cp:lastModifiedBy>Bandwidth Audio</cp:lastModifiedBy>
  <cp:lastPrinted>2016-11-13T02:27:07Z</cp:lastPrinted>
  <dcterms:created xsi:type="dcterms:W3CDTF">2015-12-10T02:36:47Z</dcterms:created>
  <dcterms:modified xsi:type="dcterms:W3CDTF">2020-02-23T23:37:23Z</dcterms:modified>
</cp:coreProperties>
</file>